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EB RAUL AÑADIR\AMPLIACION WEB\VEHICULO ELECTRICO\CALCULOS AHORRO y AMORTIZACION CE &amp; CC\"/>
    </mc:Choice>
  </mc:AlternateContent>
  <bookViews>
    <workbookView xWindow="0" yWindow="0" windowWidth="20490" windowHeight="7350"/>
  </bookViews>
  <sheets>
    <sheet name="Hoja1" sheetId="1" r:id="rId1"/>
  </sheets>
  <externalReferences>
    <externalReference r:id="rId2"/>
    <externalReference r:id="rId3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2" i="1" l="1"/>
  <c r="B31" i="1"/>
  <c r="B28" i="1"/>
  <c r="B33" i="1"/>
  <c r="B46" i="1" l="1"/>
  <c r="B52" i="1" s="1"/>
  <c r="D18" i="1"/>
  <c r="G18" i="1"/>
  <c r="B38" i="1" l="1"/>
  <c r="D33" i="1"/>
  <c r="J14" i="1" l="1"/>
  <c r="J12" i="1"/>
  <c r="C55" i="1"/>
  <c r="C56" i="1" s="1"/>
  <c r="D56" i="1"/>
  <c r="D58" i="1" l="1"/>
  <c r="C58" i="1" s="1"/>
  <c r="D57" i="1"/>
  <c r="C57" i="1" s="1"/>
  <c r="I11" i="1"/>
  <c r="D11" i="1"/>
  <c r="F11" i="1" s="1"/>
  <c r="F20" i="1"/>
  <c r="F21" i="1" s="1"/>
  <c r="J13" i="1"/>
  <c r="E11" i="1"/>
  <c r="E12" i="1"/>
  <c r="F12" i="1" s="1"/>
  <c r="G12" i="1"/>
  <c r="C18" i="1" l="1"/>
  <c r="I13" i="1"/>
  <c r="H11" i="1"/>
  <c r="E18" i="1" s="1"/>
  <c r="B18" i="1"/>
  <c r="G19" i="1"/>
  <c r="C19" i="1" s="1"/>
  <c r="D19" i="1"/>
  <c r="C59" i="1"/>
  <c r="C20" i="1"/>
  <c r="H12" i="1"/>
  <c r="E19" i="1" s="1"/>
  <c r="B29" i="1" l="1"/>
  <c r="D20" i="1"/>
  <c r="B19" i="1"/>
  <c r="B20" i="1" s="1"/>
  <c r="I14" i="1" s="1"/>
  <c r="C60" i="1"/>
  <c r="H13" i="1"/>
  <c r="C29" i="1" l="1"/>
  <c r="B39" i="1"/>
  <c r="B40" i="1" s="1"/>
  <c r="C40" i="1" s="1"/>
  <c r="B47" i="1"/>
  <c r="B48" i="1" s="1"/>
  <c r="E56" i="1"/>
  <c r="E58" i="1"/>
  <c r="E57" i="1"/>
  <c r="E59" i="1"/>
  <c r="E20" i="1"/>
  <c r="H14" i="1"/>
  <c r="B41" i="1" l="1"/>
  <c r="B42" i="1" s="1"/>
  <c r="D40" i="1"/>
  <c r="D29" i="1"/>
  <c r="D48" i="1"/>
  <c r="C48" i="1"/>
  <c r="B49" i="1"/>
  <c r="B50" i="1" s="1"/>
  <c r="E60" i="1"/>
  <c r="B30" i="1"/>
  <c r="C30" i="1" l="1"/>
  <c r="C31" i="1" l="1"/>
  <c r="C28" i="1"/>
  <c r="D28" i="1" s="1"/>
  <c r="D31" i="1" s="1"/>
  <c r="C27" i="1"/>
  <c r="C32" i="1" l="1"/>
  <c r="D30" i="1"/>
  <c r="D32" i="1"/>
</calcChain>
</file>

<file path=xl/comments1.xml><?xml version="1.0" encoding="utf-8"?>
<comments xmlns="http://schemas.openxmlformats.org/spreadsheetml/2006/main">
  <authors>
    <author>Raul</author>
  </authors>
  <commentList>
    <comment ref="J11" authorId="0" shapeId="0">
      <text>
        <r>
          <rPr>
            <b/>
            <sz val="9"/>
            <color indexed="81"/>
            <rFont val="Tahoma"/>
            <family val="2"/>
          </rPr>
          <t>Raul:</t>
        </r>
        <r>
          <rPr>
            <sz val="9"/>
            <color indexed="81"/>
            <rFont val="Tahoma"/>
            <family val="2"/>
          </rPr>
          <t xml:space="preserve">
Modificar para que la celda azul en recuadro y negrita coincida con la casilla I9 y así saber con cuantos Km se amortiza el CE con el ahorro generado respecto al consumo e importe del CC.
</t>
        </r>
      </text>
    </comment>
    <comment ref="I13" authorId="0" shapeId="0">
      <text>
        <r>
          <rPr>
            <b/>
            <sz val="9"/>
            <color indexed="81"/>
            <rFont val="Tahoma"/>
            <family val="2"/>
          </rPr>
          <t>Raul:</t>
        </r>
        <r>
          <rPr>
            <sz val="9"/>
            <color indexed="81"/>
            <rFont val="Tahoma"/>
            <family val="2"/>
          </rPr>
          <t xml:space="preserve">
Número de Km para amortizar la diferencia en € entre Coche Eléctrico: CE y Coche Combustion: CC</t>
        </r>
      </text>
    </comment>
    <comment ref="C27" authorId="0" shapeId="0">
      <text>
        <r>
          <rPr>
            <b/>
            <sz val="9"/>
            <color indexed="81"/>
            <rFont val="Tahoma"/>
            <family val="2"/>
          </rPr>
          <t>Raul:</t>
        </r>
        <r>
          <rPr>
            <sz val="9"/>
            <color indexed="81"/>
            <rFont val="Tahoma"/>
            <family val="2"/>
          </rPr>
          <t xml:space="preserve">
% descuento CE respecto al precio CC para que el precio del CE, en la vida util el CE se pague con el ahorro en consumo y mantenimiento respecto al valor y consumo en la vida útil del CC
</t>
        </r>
      </text>
    </comment>
    <comment ref="C28" authorId="0" shapeId="0">
      <text>
        <r>
          <rPr>
            <b/>
            <sz val="9"/>
            <color indexed="81"/>
            <rFont val="Tahoma"/>
            <family val="2"/>
          </rPr>
          <t>Raul:</t>
        </r>
        <r>
          <rPr>
            <sz val="9"/>
            <color indexed="81"/>
            <rFont val="Tahoma"/>
            <family val="2"/>
          </rPr>
          <t xml:space="preserve">
Valor del CE con mto. y consumo en su vida útil para que el CE se amortice en su vida util con los ahorros de mto. y consumo respecto al CC.</t>
        </r>
      </text>
    </comment>
    <comment ref="C33" authorId="0" shapeId="0">
      <text>
        <r>
          <rPr>
            <b/>
            <sz val="9"/>
            <color indexed="81"/>
            <rFont val="Tahoma"/>
            <family val="2"/>
          </rPr>
          <t>Raul:</t>
        </r>
        <r>
          <rPr>
            <sz val="9"/>
            <color indexed="81"/>
            <rFont val="Tahoma"/>
            <family val="2"/>
          </rPr>
          <t xml:space="preserve">
Introducir el periodo de vída util del CE en años</t>
        </r>
      </text>
    </comment>
    <comment ref="D48" authorId="0" shapeId="0">
      <text>
        <r>
          <rPr>
            <b/>
            <sz val="9"/>
            <color indexed="81"/>
            <rFont val="Tahoma"/>
            <family val="2"/>
          </rPr>
          <t>Raul:</t>
        </r>
        <r>
          <rPr>
            <sz val="9"/>
            <color indexed="81"/>
            <rFont val="Tahoma"/>
            <family val="2"/>
          </rPr>
          <t xml:space="preserve">
Para que sea rentable la inversion en vehículo eléctrico debe de amortizarse en un periodo inferior o al menos igual al periodo que resulta en la casilla P9: Vida util en años
</t>
        </r>
      </text>
    </comment>
    <comment ref="C54" authorId="0" shapeId="0">
      <text>
        <r>
          <rPr>
            <b/>
            <sz val="9"/>
            <color indexed="81"/>
            <rFont val="Tahoma"/>
            <family val="2"/>
          </rPr>
          <t>Raul:</t>
        </r>
        <r>
          <rPr>
            <sz val="9"/>
            <color indexed="81"/>
            <rFont val="Tahoma"/>
            <family val="2"/>
          </rPr>
          <t xml:space="preserve">
Introducir la base liquidable de la declaración de la renta anual si esta cambia y hacer lo mismo pero para cada uno de los 3 primeros años. El cuarto año resulta de la diferencia de la máxima ayuda (9.600€) menos la suma de los tres años anteriores.</t>
        </r>
      </text>
    </comment>
    <comment ref="C56" authorId="0" shapeId="0">
      <text>
        <r>
          <rPr>
            <b/>
            <sz val="9"/>
            <color indexed="81"/>
            <rFont val="Tahoma"/>
            <family val="2"/>
          </rPr>
          <t>Raul:</t>
        </r>
        <r>
          <rPr>
            <sz val="9"/>
            <color indexed="81"/>
            <rFont val="Tahoma"/>
            <family val="2"/>
          </rPr>
          <t xml:space="preserve">
Mismo importe por Introducir la base liquidable de la declaración de la renta anual igual en los primeros tres años. Si la base liquidable cambia año a año,  hacer lo mismo pero separado para cada uno de los 3 primeros años. El cuarto año siempre resulta de la diferencia de la máxima ayuda (9.600€) menos la suma de los tres años anteriores.</t>
        </r>
      </text>
    </comment>
  </commentList>
</comments>
</file>

<file path=xl/sharedStrings.xml><?xml version="1.0" encoding="utf-8"?>
<sst xmlns="http://schemas.openxmlformats.org/spreadsheetml/2006/main" count="59" uniqueCount="55">
  <si>
    <t>AHORRO %</t>
  </si>
  <si>
    <t>AHORRO €</t>
  </si>
  <si>
    <t>Importe €/km</t>
  </si>
  <si>
    <t>Consumo l/Km</t>
  </si>
  <si>
    <t>Precio Gasoil: €/l</t>
  </si>
  <si>
    <t>l/100Km</t>
  </si>
  <si>
    <t>COCHE GASOIL</t>
  </si>
  <si>
    <t>COCHE ELECTRICO</t>
  </si>
  <si>
    <t>Importe€/Kwh</t>
  </si>
  <si>
    <t>Consumo/Kwh/Km</t>
  </si>
  <si>
    <t>Precio Gasoil: €/Kwh</t>
  </si>
  <si>
    <t>Kwh/100km</t>
  </si>
  <si>
    <t>TOTAL GASTO</t>
  </si>
  <si>
    <t xml:space="preserve">Amortizacion en Km </t>
  </si>
  <si>
    <t>€ CE &amp; €CC</t>
  </si>
  <si>
    <t>En (Km)/año</t>
  </si>
  <si>
    <t>Ahorro Total</t>
  </si>
  <si>
    <t>Ahorro anual €</t>
  </si>
  <si>
    <t>Ahorro anual %</t>
  </si>
  <si>
    <t>Ahorro</t>
  </si>
  <si>
    <t>Ahorro maximo %</t>
  </si>
  <si>
    <t>€/año vida util</t>
  </si>
  <si>
    <t>€/año Consumo: C</t>
  </si>
  <si>
    <t>Con FV 100%</t>
  </si>
  <si>
    <t>Sin  FV 100%</t>
  </si>
  <si>
    <t>Año 1: Máxima ayuda desgrabación/máxima desgrabación</t>
  </si>
  <si>
    <t>Resto</t>
  </si>
  <si>
    <t>Máx. desgrabación declaración renta sobre  la base liquidable en 4 años</t>
  </si>
  <si>
    <t>% Máximo/año</t>
  </si>
  <si>
    <t>Año 2: Máxima ayuda desgrabación/máxima desgrabación</t>
  </si>
  <si>
    <t>Año 3: Máxima ayuda desgrabación/máxima desgrabación</t>
  </si>
  <si>
    <t>Año 4: Máxima ayuda desgrabación/máxima desgrabación</t>
  </si>
  <si>
    <t>Total  ayuda por deducción en la compra</t>
  </si>
  <si>
    <t>Máxima ayuda por deducción en la compra</t>
  </si>
  <si>
    <t>%/año</t>
  </si>
  <si>
    <t>Ejemplo: Base lquidable: Suponiendo en 4 años con la misma base liquidable/año</t>
  </si>
  <si>
    <t>Máxima desgrabación vehículo eléctrico en 4 años con la misma base liquidable/año</t>
  </si>
  <si>
    <t>VU en Km</t>
  </si>
  <si>
    <t>€/año Vida Util: VU</t>
  </si>
  <si>
    <t>TOTAL: €/año Consumo + VU</t>
  </si>
  <si>
    <t>VU en Años</t>
  </si>
  <si>
    <t>Amortizacion Años CE sin consumo</t>
  </si>
  <si>
    <t>Con FV 100% + SUBVENCIONES: 30%</t>
  </si>
  <si>
    <t>NOTA: Posicionarse en la casillas donde el vertice superior derecho esta marcado en colo rojo para seguir las indicaciones que se detallan y evitar errores. Rellenar casillas en blanco.</t>
  </si>
  <si>
    <t xml:space="preserve">1.- Vehículo </t>
  </si>
  <si>
    <t>2.- Vehículo + Consumo</t>
  </si>
  <si>
    <t>3.- Vehículo + Consumo + Fotovoltaica</t>
  </si>
  <si>
    <t>4.- Vehículo + Consumo +  Fotovoltaica + Subvenciones</t>
  </si>
  <si>
    <t xml:space="preserve">Con la presente tabla en función de los costes, consumos, Km, vehículo: CC/CE y vida util, se calculan las diferentes amortizaciones (inversión/ahorro generado)  resultantes, reduciendo su valor según se vaya considerando: </t>
  </si>
  <si>
    <t>GASTOS mantenimiento año aprox.</t>
  </si>
  <si>
    <t>Amortización Años  CE con consumo</t>
  </si>
  <si>
    <t>Años para pagar con el ahorro el 100% del CC  su mto. y   consumo</t>
  </si>
  <si>
    <t>Años para pagar con ahorro el 100% y mto..del CE</t>
  </si>
  <si>
    <t>Años para pagar con el ahorro del 100% y mto. del CE</t>
  </si>
  <si>
    <t>Años para pagar con el ahorro del 100% del CC su mto. y consumo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</si>
</sst>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\ &quot;€&quot;"/>
    <numFmt numFmtId="165" formatCode="#,##0\ &quot;€&quot;"/>
    <numFmt numFmtId="166" formatCode="#,##0.00\ _€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i/>
      <sz val="8"/>
      <color rgb="FFFF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164" fontId="0" fillId="0" borderId="0" xfId="0" applyNumberFormat="1"/>
    <xf numFmtId="0" fontId="1" fillId="0" borderId="0" xfId="0" applyFont="1"/>
    <xf numFmtId="0" fontId="1" fillId="2" borderId="1" xfId="0" applyFont="1" applyFill="1" applyBorder="1"/>
    <xf numFmtId="164" fontId="1" fillId="2" borderId="1" xfId="0" applyNumberFormat="1" applyFont="1" applyFill="1" applyBorder="1"/>
    <xf numFmtId="3" fontId="1" fillId="2" borderId="1" xfId="0" applyNumberFormat="1" applyFont="1" applyFill="1" applyBorder="1"/>
    <xf numFmtId="164" fontId="1" fillId="2" borderId="4" xfId="0" applyNumberFormat="1" applyFont="1" applyFill="1" applyBorder="1"/>
    <xf numFmtId="10" fontId="1" fillId="2" borderId="4" xfId="0" applyNumberFormat="1" applyFont="1" applyFill="1" applyBorder="1"/>
    <xf numFmtId="165" fontId="1" fillId="0" borderId="2" xfId="0" applyNumberFormat="1" applyFont="1" applyBorder="1"/>
    <xf numFmtId="165" fontId="3" fillId="2" borderId="3" xfId="0" applyNumberFormat="1" applyFont="1" applyFill="1" applyBorder="1"/>
    <xf numFmtId="165" fontId="4" fillId="2" borderId="6" xfId="0" applyNumberFormat="1" applyFont="1" applyFill="1" applyBorder="1"/>
    <xf numFmtId="3" fontId="3" fillId="0" borderId="3" xfId="0" applyNumberFormat="1" applyFont="1" applyBorder="1"/>
    <xf numFmtId="165" fontId="1" fillId="2" borderId="9" xfId="0" applyNumberFormat="1" applyFont="1" applyFill="1" applyBorder="1"/>
    <xf numFmtId="0" fontId="0" fillId="0" borderId="0" xfId="0" applyBorder="1"/>
    <xf numFmtId="165" fontId="1" fillId="2" borderId="28" xfId="0" applyNumberFormat="1" applyFont="1" applyFill="1" applyBorder="1"/>
    <xf numFmtId="0" fontId="0" fillId="0" borderId="20" xfId="0" applyBorder="1"/>
    <xf numFmtId="3" fontId="1" fillId="2" borderId="34" xfId="0" applyNumberFormat="1" applyFont="1" applyFill="1" applyBorder="1"/>
    <xf numFmtId="10" fontId="1" fillId="3" borderId="34" xfId="0" applyNumberFormat="1" applyFont="1" applyFill="1" applyBorder="1"/>
    <xf numFmtId="2" fontId="1" fillId="4" borderId="9" xfId="0" applyNumberFormat="1" applyFont="1" applyFill="1" applyBorder="1"/>
    <xf numFmtId="0" fontId="2" fillId="3" borderId="8" xfId="0" applyFont="1" applyFill="1" applyBorder="1"/>
    <xf numFmtId="0" fontId="2" fillId="4" borderId="3" xfId="0" applyFont="1" applyFill="1" applyBorder="1"/>
    <xf numFmtId="0" fontId="1" fillId="6" borderId="39" xfId="0" applyFont="1" applyFill="1" applyBorder="1"/>
    <xf numFmtId="0" fontId="1" fillId="6" borderId="31" xfId="0" applyFont="1" applyFill="1" applyBorder="1"/>
    <xf numFmtId="10" fontId="1" fillId="6" borderId="6" xfId="0" applyNumberFormat="1" applyFont="1" applyFill="1" applyBorder="1"/>
    <xf numFmtId="165" fontId="1" fillId="6" borderId="34" xfId="0" applyNumberFormat="1" applyFont="1" applyFill="1" applyBorder="1"/>
    <xf numFmtId="165" fontId="1" fillId="6" borderId="7" xfId="0" applyNumberFormat="1" applyFont="1" applyFill="1" applyBorder="1"/>
    <xf numFmtId="165" fontId="1" fillId="6" borderId="6" xfId="0" applyNumberFormat="1" applyFont="1" applyFill="1" applyBorder="1"/>
    <xf numFmtId="10" fontId="1" fillId="3" borderId="3" xfId="0" applyNumberFormat="1" applyFont="1" applyFill="1" applyBorder="1"/>
    <xf numFmtId="165" fontId="2" fillId="6" borderId="34" xfId="0" applyNumberFormat="1" applyFont="1" applyFill="1" applyBorder="1"/>
    <xf numFmtId="165" fontId="2" fillId="2" borderId="11" xfId="0" applyNumberFormat="1" applyFont="1" applyFill="1" applyBorder="1"/>
    <xf numFmtId="0" fontId="2" fillId="2" borderId="3" xfId="0" applyFont="1" applyFill="1" applyBorder="1"/>
    <xf numFmtId="0" fontId="2" fillId="2" borderId="13" xfId="0" applyFont="1" applyFill="1" applyBorder="1"/>
    <xf numFmtId="10" fontId="2" fillId="2" borderId="8" xfId="0" applyNumberFormat="1" applyFont="1" applyFill="1" applyBorder="1"/>
    <xf numFmtId="0" fontId="1" fillId="2" borderId="22" xfId="0" applyFont="1" applyFill="1" applyBorder="1"/>
    <xf numFmtId="0" fontId="1" fillId="2" borderId="23" xfId="0" applyFont="1" applyFill="1" applyBorder="1"/>
    <xf numFmtId="0" fontId="1" fillId="2" borderId="32" xfId="0" applyFont="1" applyFill="1" applyBorder="1"/>
    <xf numFmtId="0" fontId="1" fillId="2" borderId="27" xfId="0" applyFont="1" applyFill="1" applyBorder="1"/>
    <xf numFmtId="0" fontId="1" fillId="2" borderId="18" xfId="0" applyFont="1" applyFill="1" applyBorder="1"/>
    <xf numFmtId="164" fontId="1" fillId="2" borderId="7" xfId="0" applyNumberFormat="1" applyFont="1" applyFill="1" applyBorder="1"/>
    <xf numFmtId="164" fontId="1" fillId="2" borderId="25" xfId="0" applyNumberFormat="1" applyFont="1" applyFill="1" applyBorder="1"/>
    <xf numFmtId="164" fontId="1" fillId="2" borderId="34" xfId="0" applyNumberFormat="1" applyFont="1" applyFill="1" applyBorder="1"/>
    <xf numFmtId="0" fontId="2" fillId="2" borderId="26" xfId="0" applyFont="1" applyFill="1" applyBorder="1"/>
    <xf numFmtId="10" fontId="2" fillId="2" borderId="35" xfId="0" applyNumberFormat="1" applyFont="1" applyFill="1" applyBorder="1"/>
    <xf numFmtId="10" fontId="1" fillId="2" borderId="24" xfId="0" applyNumberFormat="1" applyFont="1" applyFill="1" applyBorder="1"/>
    <xf numFmtId="10" fontId="1" fillId="2" borderId="34" xfId="0" applyNumberFormat="1" applyFont="1" applyFill="1" applyBorder="1"/>
    <xf numFmtId="0" fontId="1" fillId="2" borderId="7" xfId="0" applyFont="1" applyFill="1" applyBorder="1"/>
    <xf numFmtId="0" fontId="1" fillId="2" borderId="3" xfId="0" applyFont="1" applyFill="1" applyBorder="1"/>
    <xf numFmtId="10" fontId="1" fillId="2" borderId="25" xfId="0" applyNumberFormat="1" applyFont="1" applyFill="1" applyBorder="1"/>
    <xf numFmtId="10" fontId="1" fillId="2" borderId="7" xfId="0" applyNumberFormat="1" applyFont="1" applyFill="1" applyBorder="1"/>
    <xf numFmtId="9" fontId="1" fillId="2" borderId="9" xfId="0" applyNumberFormat="1" applyFont="1" applyFill="1" applyBorder="1"/>
    <xf numFmtId="164" fontId="1" fillId="2" borderId="9" xfId="0" applyNumberFormat="1" applyFont="1" applyFill="1" applyBorder="1"/>
    <xf numFmtId="164" fontId="2" fillId="0" borderId="3" xfId="0" applyNumberFormat="1" applyFont="1" applyBorder="1"/>
    <xf numFmtId="0" fontId="2" fillId="5" borderId="11" xfId="0" applyFont="1" applyFill="1" applyBorder="1"/>
    <xf numFmtId="0" fontId="2" fillId="5" borderId="38" xfId="0" applyFont="1" applyFill="1" applyBorder="1"/>
    <xf numFmtId="165" fontId="2" fillId="5" borderId="38" xfId="0" applyNumberFormat="1" applyFont="1" applyFill="1" applyBorder="1"/>
    <xf numFmtId="0" fontId="0" fillId="5" borderId="12" xfId="0" applyFill="1" applyBorder="1"/>
    <xf numFmtId="165" fontId="3" fillId="8" borderId="3" xfId="0" applyNumberFormat="1" applyFont="1" applyFill="1" applyBorder="1"/>
    <xf numFmtId="3" fontId="4" fillId="2" borderId="23" xfId="0" applyNumberFormat="1" applyFont="1" applyFill="1" applyBorder="1"/>
    <xf numFmtId="1" fontId="2" fillId="2" borderId="8" xfId="0" applyNumberFormat="1" applyFont="1" applyFill="1" applyBorder="1"/>
    <xf numFmtId="0" fontId="2" fillId="2" borderId="7" xfId="0" applyFont="1" applyFill="1" applyBorder="1"/>
    <xf numFmtId="0" fontId="2" fillId="7" borderId="13" xfId="0" applyFont="1" applyFill="1" applyBorder="1"/>
    <xf numFmtId="0" fontId="2" fillId="7" borderId="14" xfId="0" applyFont="1" applyFill="1" applyBorder="1"/>
    <xf numFmtId="165" fontId="2" fillId="7" borderId="14" xfId="0" applyNumberFormat="1" applyFont="1" applyFill="1" applyBorder="1"/>
    <xf numFmtId="0" fontId="2" fillId="7" borderId="15" xfId="0" applyFont="1" applyFill="1" applyBorder="1"/>
    <xf numFmtId="0" fontId="2" fillId="7" borderId="16" xfId="0" applyFont="1" applyFill="1" applyBorder="1"/>
    <xf numFmtId="0" fontId="2" fillId="7" borderId="0" xfId="0" applyFont="1" applyFill="1" applyBorder="1"/>
    <xf numFmtId="0" fontId="2" fillId="7" borderId="17" xfId="0" applyFont="1" applyFill="1" applyBorder="1"/>
    <xf numFmtId="0" fontId="2" fillId="7" borderId="18" xfId="0" applyFont="1" applyFill="1" applyBorder="1"/>
    <xf numFmtId="0" fontId="2" fillId="7" borderId="19" xfId="0" applyFont="1" applyFill="1" applyBorder="1"/>
    <xf numFmtId="0" fontId="2" fillId="7" borderId="20" xfId="0" applyFont="1" applyFill="1" applyBorder="1"/>
    <xf numFmtId="0" fontId="2" fillId="0" borderId="41" xfId="0" applyFont="1" applyBorder="1"/>
    <xf numFmtId="0" fontId="1" fillId="2" borderId="41" xfId="0" applyFont="1" applyFill="1" applyBorder="1"/>
    <xf numFmtId="3" fontId="1" fillId="0" borderId="41" xfId="0" applyNumberFormat="1" applyFont="1" applyBorder="1"/>
    <xf numFmtId="164" fontId="1" fillId="2" borderId="40" xfId="0" applyNumberFormat="1" applyFont="1" applyFill="1" applyBorder="1"/>
    <xf numFmtId="3" fontId="1" fillId="2" borderId="31" xfId="0" applyNumberFormat="1" applyFont="1" applyFill="1" applyBorder="1"/>
    <xf numFmtId="3" fontId="1" fillId="2" borderId="10" xfId="0" applyNumberFormat="1" applyFont="1" applyFill="1" applyBorder="1"/>
    <xf numFmtId="0" fontId="0" fillId="0" borderId="16" xfId="0" applyBorder="1"/>
    <xf numFmtId="10" fontId="1" fillId="2" borderId="10" xfId="0" applyNumberFormat="1" applyFont="1" applyFill="1" applyBorder="1"/>
    <xf numFmtId="0" fontId="0" fillId="0" borderId="18" xfId="0" applyBorder="1"/>
    <xf numFmtId="0" fontId="0" fillId="0" borderId="19" xfId="0" applyBorder="1"/>
    <xf numFmtId="164" fontId="0" fillId="0" borderId="19" xfId="0" applyNumberFormat="1" applyBorder="1"/>
    <xf numFmtId="0" fontId="2" fillId="2" borderId="42" xfId="0" applyFont="1" applyFill="1" applyBorder="1"/>
    <xf numFmtId="0" fontId="2" fillId="2" borderId="43" xfId="0" applyFont="1" applyFill="1" applyBorder="1"/>
    <xf numFmtId="0" fontId="2" fillId="2" borderId="44" xfId="0" applyFont="1" applyFill="1" applyBorder="1"/>
    <xf numFmtId="0" fontId="1" fillId="2" borderId="8" xfId="0" applyFont="1" applyFill="1" applyBorder="1"/>
    <xf numFmtId="0" fontId="2" fillId="2" borderId="39" xfId="0" applyFont="1" applyFill="1" applyBorder="1"/>
    <xf numFmtId="0" fontId="1" fillId="0" borderId="41" xfId="0" applyFont="1" applyBorder="1"/>
    <xf numFmtId="0" fontId="2" fillId="2" borderId="36" xfId="0" applyFont="1" applyFill="1" applyBorder="1"/>
    <xf numFmtId="164" fontId="1" fillId="2" borderId="41" xfId="0" applyNumberFormat="1" applyFont="1" applyFill="1" applyBorder="1"/>
    <xf numFmtId="164" fontId="1" fillId="2" borderId="5" xfId="0" applyNumberFormat="1" applyFont="1" applyFill="1" applyBorder="1"/>
    <xf numFmtId="166" fontId="1" fillId="3" borderId="25" xfId="0" applyNumberFormat="1" applyFont="1" applyFill="1" applyBorder="1"/>
    <xf numFmtId="166" fontId="1" fillId="3" borderId="21" xfId="0" applyNumberFormat="1" applyFont="1" applyFill="1" applyBorder="1"/>
    <xf numFmtId="0" fontId="2" fillId="3" borderId="3" xfId="0" applyFont="1" applyFill="1" applyBorder="1"/>
    <xf numFmtId="165" fontId="1" fillId="3" borderId="34" xfId="0" applyNumberFormat="1" applyFont="1" applyFill="1" applyBorder="1"/>
    <xf numFmtId="165" fontId="1" fillId="3" borderId="24" xfId="0" applyNumberFormat="1" applyFont="1" applyFill="1" applyBorder="1"/>
    <xf numFmtId="166" fontId="1" fillId="3" borderId="6" xfId="0" applyNumberFormat="1" applyFont="1" applyFill="1" applyBorder="1"/>
    <xf numFmtId="165" fontId="1" fillId="3" borderId="6" xfId="0" applyNumberFormat="1" applyFont="1" applyFill="1" applyBorder="1"/>
    <xf numFmtId="166" fontId="1" fillId="3" borderId="34" xfId="0" applyNumberFormat="1" applyFont="1" applyFill="1" applyBorder="1"/>
    <xf numFmtId="2" fontId="1" fillId="3" borderId="9" xfId="0" applyNumberFormat="1" applyFont="1" applyFill="1" applyBorder="1"/>
    <xf numFmtId="3" fontId="1" fillId="3" borderId="9" xfId="0" applyNumberFormat="1" applyFont="1" applyFill="1" applyBorder="1"/>
    <xf numFmtId="0" fontId="1" fillId="4" borderId="6" xfId="0" applyFont="1" applyFill="1" applyBorder="1"/>
    <xf numFmtId="10" fontId="1" fillId="6" borderId="7" xfId="0" applyNumberFormat="1" applyFont="1" applyFill="1" applyBorder="1"/>
    <xf numFmtId="0" fontId="1" fillId="6" borderId="7" xfId="0" applyFont="1" applyFill="1" applyBorder="1"/>
    <xf numFmtId="0" fontId="1" fillId="6" borderId="25" xfId="0" applyFont="1" applyFill="1" applyBorder="1"/>
    <xf numFmtId="4" fontId="1" fillId="6" borderId="33" xfId="0" applyNumberFormat="1" applyFont="1" applyFill="1" applyBorder="1"/>
    <xf numFmtId="4" fontId="7" fillId="6" borderId="30" xfId="0" applyNumberFormat="1" applyFont="1" applyFill="1" applyBorder="1"/>
    <xf numFmtId="0" fontId="1" fillId="4" borderId="26" xfId="0" applyFont="1" applyFill="1" applyBorder="1"/>
    <xf numFmtId="3" fontId="1" fillId="4" borderId="35" xfId="0" applyNumberFormat="1" applyFont="1" applyFill="1" applyBorder="1"/>
    <xf numFmtId="0" fontId="1" fillId="4" borderId="35" xfId="0" applyFont="1" applyFill="1" applyBorder="1"/>
    <xf numFmtId="165" fontId="1" fillId="4" borderId="34" xfId="0" applyNumberFormat="1" applyFont="1" applyFill="1" applyBorder="1"/>
    <xf numFmtId="165" fontId="1" fillId="4" borderId="21" xfId="0" applyNumberFormat="1" applyFont="1" applyFill="1" applyBorder="1"/>
    <xf numFmtId="165" fontId="1" fillId="4" borderId="6" xfId="0" applyNumberFormat="1" applyFont="1" applyFill="1" applyBorder="1"/>
    <xf numFmtId="10" fontId="1" fillId="4" borderId="7" xfId="0" applyNumberFormat="1" applyFont="1" applyFill="1" applyBorder="1"/>
    <xf numFmtId="165" fontId="2" fillId="4" borderId="25" xfId="0" applyNumberFormat="1" applyFont="1" applyFill="1" applyBorder="1"/>
    <xf numFmtId="2" fontId="1" fillId="9" borderId="9" xfId="0" applyNumberFormat="1" applyFont="1" applyFill="1" applyBorder="1"/>
    <xf numFmtId="0" fontId="2" fillId="6" borderId="3" xfId="0" applyFont="1" applyFill="1" applyBorder="1"/>
    <xf numFmtId="3" fontId="1" fillId="2" borderId="29" xfId="0" applyNumberFormat="1" applyFont="1" applyFill="1" applyBorder="1"/>
    <xf numFmtId="165" fontId="1" fillId="2" borderId="37" xfId="0" applyNumberFormat="1" applyFont="1" applyFill="1" applyBorder="1"/>
    <xf numFmtId="165" fontId="1" fillId="2" borderId="22" xfId="0" applyNumberFormat="1" applyFont="1" applyFill="1" applyBorder="1"/>
    <xf numFmtId="3" fontId="1" fillId="2" borderId="25" xfId="0" applyNumberFormat="1" applyFont="1" applyFill="1" applyBorder="1"/>
    <xf numFmtId="0" fontId="1" fillId="2" borderId="34" xfId="0" applyFont="1" applyFill="1" applyBorder="1"/>
    <xf numFmtId="0" fontId="1" fillId="2" borderId="2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+P%20y%20NATURGY/PRIMER%20COMPARATIVO%20LIBRE%20PVPC%20ENERO%20DESDE%20MAYO%20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COSTES%20VARIOS/IMPORTES%20REPARACIONES%20MANTENIMIENTOS%20Y%20AVERIAS%20AUDI%205182GYG,%201464HGY%20y%202154JNZ%20A%207%20DE%20NOVIEMBRE%20DE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3"/>
    </sheetNames>
    <sheetDataSet>
      <sheetData sheetId="0">
        <row r="27">
          <cell r="KT27">
            <v>0.19340950025595816</v>
          </cell>
          <cell r="LX27">
            <v>0.18918819026120826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.+MAN.+AVERIAS5182GYG1464HGY"/>
    </sheetNames>
    <sheetDataSet>
      <sheetData sheetId="0">
        <row r="50">
          <cell r="F50">
            <v>1365.9991999999997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Y60"/>
  <sheetViews>
    <sheetView tabSelected="1" topLeftCell="A19" workbookViewId="0">
      <selection activeCell="C45" sqref="C45"/>
    </sheetView>
  </sheetViews>
  <sheetFormatPr baseColWidth="10" defaultRowHeight="15" x14ac:dyDescent="0.25"/>
  <cols>
    <col min="1" max="1" width="1.85546875" customWidth="1"/>
    <col min="2" max="2" width="58" customWidth="1"/>
    <col min="3" max="3" width="44.42578125" customWidth="1"/>
    <col min="4" max="4" width="36.42578125" customWidth="1"/>
    <col min="5" max="5" width="18.28515625" customWidth="1"/>
    <col min="7" max="7" width="25.28515625" customWidth="1"/>
    <col min="8" max="8" width="13.85546875" customWidth="1"/>
    <col min="9" max="9" width="10.28515625" customWidth="1"/>
    <col min="10" max="10" width="24.140625" customWidth="1"/>
    <col min="11" max="11" width="9.85546875" customWidth="1"/>
    <col min="12" max="12" width="16.5703125" customWidth="1"/>
    <col min="13" max="13" width="24" customWidth="1"/>
    <col min="14" max="14" width="20.5703125" customWidth="1"/>
    <col min="16" max="16" width="25.42578125" customWidth="1"/>
    <col min="19" max="19" width="16.140625" customWidth="1"/>
    <col min="20" max="20" width="57.5703125" customWidth="1"/>
    <col min="21" max="21" width="44.5703125" customWidth="1"/>
    <col min="22" max="22" width="36.28515625" customWidth="1"/>
    <col min="23" max="23" width="6.140625" customWidth="1"/>
    <col min="24" max="24" width="46.140625" customWidth="1"/>
    <col min="25" max="25" width="34.28515625" customWidth="1"/>
    <col min="26" max="26" width="58.140625" customWidth="1"/>
    <col min="27" max="27" width="29.42578125" customWidth="1"/>
  </cols>
  <sheetData>
    <row r="1" spans="2:25" ht="15.75" thickBot="1" x14ac:dyDescent="0.3"/>
    <row r="2" spans="2:25" x14ac:dyDescent="0.25">
      <c r="B2" s="62" t="s">
        <v>48</v>
      </c>
      <c r="C2" s="63"/>
      <c r="D2" s="63"/>
      <c r="E2" s="63"/>
      <c r="F2" s="63"/>
      <c r="G2" s="63"/>
      <c r="H2" s="63"/>
      <c r="I2" s="64"/>
      <c r="J2" s="63"/>
      <c r="K2" s="63"/>
      <c r="L2" s="65"/>
    </row>
    <row r="3" spans="2:25" x14ac:dyDescent="0.25">
      <c r="B3" s="66" t="s">
        <v>44</v>
      </c>
      <c r="C3" s="67"/>
      <c r="D3" s="67"/>
      <c r="E3" s="67"/>
      <c r="F3" s="67"/>
      <c r="G3" s="67"/>
      <c r="H3" s="67"/>
      <c r="I3" s="67"/>
      <c r="J3" s="67"/>
      <c r="K3" s="67"/>
      <c r="L3" s="68"/>
    </row>
    <row r="4" spans="2:25" x14ac:dyDescent="0.25">
      <c r="B4" s="66" t="s">
        <v>45</v>
      </c>
      <c r="C4" s="67"/>
      <c r="D4" s="67"/>
      <c r="E4" s="67"/>
      <c r="F4" s="67"/>
      <c r="G4" s="67"/>
      <c r="H4" s="67"/>
      <c r="I4" s="67"/>
      <c r="J4" s="67"/>
      <c r="K4" s="67"/>
      <c r="L4" s="68"/>
    </row>
    <row r="5" spans="2:25" x14ac:dyDescent="0.25">
      <c r="B5" s="66" t="s">
        <v>46</v>
      </c>
      <c r="C5" s="67"/>
      <c r="D5" s="67"/>
      <c r="E5" s="67"/>
      <c r="F5" s="67"/>
      <c r="G5" s="67"/>
      <c r="H5" s="67"/>
      <c r="I5" s="67"/>
      <c r="J5" s="67"/>
      <c r="K5" s="67"/>
      <c r="L5" s="68"/>
    </row>
    <row r="6" spans="2:25" ht="15.75" thickBot="1" x14ac:dyDescent="0.3">
      <c r="B6" s="69" t="s">
        <v>47</v>
      </c>
      <c r="C6" s="70"/>
      <c r="D6" s="70"/>
      <c r="E6" s="70"/>
      <c r="F6" s="70"/>
      <c r="G6" s="70"/>
      <c r="H6" s="70"/>
      <c r="I6" s="70"/>
      <c r="J6" s="70"/>
      <c r="K6" s="70"/>
      <c r="L6" s="71"/>
    </row>
    <row r="7" spans="2:25" ht="15.75" thickBot="1" x14ac:dyDescent="0.3"/>
    <row r="8" spans="2:25" ht="15.75" thickBot="1" x14ac:dyDescent="0.3">
      <c r="B8" s="54" t="s">
        <v>43</v>
      </c>
      <c r="C8" s="55"/>
      <c r="D8" s="55"/>
      <c r="E8" s="55"/>
      <c r="F8" s="55"/>
      <c r="G8" s="55"/>
      <c r="H8" s="55"/>
      <c r="I8" s="56"/>
      <c r="J8" s="55"/>
      <c r="K8" s="55"/>
      <c r="L8" s="57"/>
    </row>
    <row r="9" spans="2:25" ht="15.75" thickBot="1" x14ac:dyDescent="0.3"/>
    <row r="10" spans="2:25" ht="15.75" thickBot="1" x14ac:dyDescent="0.3">
      <c r="C10" s="83" t="s">
        <v>11</v>
      </c>
      <c r="D10" s="84" t="s">
        <v>10</v>
      </c>
      <c r="E10" s="84" t="s">
        <v>9</v>
      </c>
      <c r="F10" s="84" t="s">
        <v>8</v>
      </c>
      <c r="G10" s="84" t="s">
        <v>15</v>
      </c>
      <c r="H10" s="85" t="s">
        <v>22</v>
      </c>
      <c r="I10" s="86" t="s">
        <v>14</v>
      </c>
      <c r="J10" s="32" t="s">
        <v>13</v>
      </c>
    </row>
    <row r="11" spans="2:25" ht="15.75" thickBot="1" x14ac:dyDescent="0.3">
      <c r="B11" s="87" t="s">
        <v>7</v>
      </c>
      <c r="C11" s="88">
        <v>16.3</v>
      </c>
      <c r="D11" s="72">
        <f>[1]Hoja1!$LX$27</f>
        <v>0.18918819026120826</v>
      </c>
      <c r="E11" s="73">
        <f>C11/100</f>
        <v>0.16300000000000001</v>
      </c>
      <c r="F11" s="73">
        <f>E11*D11</f>
        <v>3.0837675012576948E-2</v>
      </c>
      <c r="G11" s="74">
        <v>50000</v>
      </c>
      <c r="H11" s="75">
        <f>F11*G11</f>
        <v>1541.8837506288473</v>
      </c>
      <c r="I11" s="11">
        <f>32000</f>
        <v>32000</v>
      </c>
      <c r="J11" s="13">
        <v>625310</v>
      </c>
    </row>
    <row r="12" spans="2:25" ht="15.75" thickBot="1" x14ac:dyDescent="0.3">
      <c r="B12" s="89" t="s">
        <v>6</v>
      </c>
      <c r="C12" s="1">
        <v>6</v>
      </c>
      <c r="D12" s="2">
        <v>1.5</v>
      </c>
      <c r="E12" s="5">
        <f>C12/100</f>
        <v>0.06</v>
      </c>
      <c r="F12" s="5">
        <f>E12*D12</f>
        <v>0.09</v>
      </c>
      <c r="G12" s="7">
        <f>G11</f>
        <v>50000</v>
      </c>
      <c r="H12" s="6">
        <f>F12*G12</f>
        <v>4500</v>
      </c>
      <c r="I12" s="10">
        <v>24000</v>
      </c>
      <c r="J12" s="118">
        <f>J11</f>
        <v>625310</v>
      </c>
    </row>
    <row r="13" spans="2:25" ht="15.75" thickBot="1" x14ac:dyDescent="0.3">
      <c r="B13" s="78"/>
      <c r="C13" s="2" t="s">
        <v>5</v>
      </c>
      <c r="D13" s="2" t="s">
        <v>4</v>
      </c>
      <c r="E13" s="2" t="s">
        <v>3</v>
      </c>
      <c r="F13" s="2" t="s">
        <v>2</v>
      </c>
      <c r="G13" s="2" t="s">
        <v>1</v>
      </c>
      <c r="H13" s="8">
        <f>-(H12-H11)</f>
        <v>-2958.1162493711527</v>
      </c>
      <c r="I13" s="12">
        <f>I11-I12</f>
        <v>8000</v>
      </c>
      <c r="J13" s="119">
        <f>J12-J11</f>
        <v>0</v>
      </c>
    </row>
    <row r="14" spans="2:25" ht="15.75" thickBot="1" x14ac:dyDescent="0.3">
      <c r="B14" s="78"/>
      <c r="C14" s="15"/>
      <c r="D14" s="15"/>
      <c r="E14" s="15"/>
      <c r="F14" s="15"/>
      <c r="G14" s="2" t="s">
        <v>0</v>
      </c>
      <c r="H14" s="9">
        <f>H13/H12</f>
        <v>-0.65735916652692283</v>
      </c>
      <c r="I14" s="59">
        <f>(I13*J11)/B20</f>
        <v>156327.54065549045</v>
      </c>
      <c r="J14" s="60">
        <f>(J11*G18)/F18</f>
        <v>12.5062</v>
      </c>
    </row>
    <row r="15" spans="2:25" ht="15.75" thickBot="1" x14ac:dyDescent="0.3">
      <c r="B15" s="80"/>
      <c r="C15" s="81"/>
      <c r="D15" s="81"/>
      <c r="E15" s="81"/>
      <c r="F15" s="81"/>
      <c r="G15" s="81"/>
      <c r="H15" s="82"/>
      <c r="I15" s="81"/>
      <c r="J15" s="61" t="s">
        <v>41</v>
      </c>
    </row>
    <row r="16" spans="2:25" ht="15.75" thickBot="1" x14ac:dyDescent="0.3">
      <c r="X16" s="4"/>
      <c r="Y16" s="4"/>
    </row>
    <row r="17" spans="2:19" ht="15.75" thickBot="1" x14ac:dyDescent="0.3">
      <c r="B17" s="33" t="s">
        <v>12</v>
      </c>
      <c r="C17" s="84" t="s">
        <v>38</v>
      </c>
      <c r="D17" s="85" t="s">
        <v>49</v>
      </c>
      <c r="E17" s="84" t="s">
        <v>39</v>
      </c>
      <c r="F17" s="85" t="s">
        <v>37</v>
      </c>
      <c r="G17" s="32" t="s">
        <v>40</v>
      </c>
      <c r="R17" s="3"/>
    </row>
    <row r="18" spans="2:19" x14ac:dyDescent="0.25">
      <c r="B18" s="120">
        <f>J11*F11+I11+D18*G18</f>
        <v>53741.905122114498</v>
      </c>
      <c r="C18" s="90">
        <f>I11/G18</f>
        <v>5333.333333333333</v>
      </c>
      <c r="D18" s="75">
        <f>'[2]REP.+MAN.+AVERIAS5182GYG1464HGY'!$F$50*(1-0.4)/100000*G11</f>
        <v>409.79975999999994</v>
      </c>
      <c r="E18" s="90">
        <f>H11+C18</f>
        <v>6875.2170839621804</v>
      </c>
      <c r="F18" s="76">
        <v>300000</v>
      </c>
      <c r="G18" s="121">
        <f>F18/G11</f>
        <v>6</v>
      </c>
      <c r="S18" s="3"/>
    </row>
    <row r="19" spans="2:19" ht="15.75" thickBot="1" x14ac:dyDescent="0.3">
      <c r="B19" s="16">
        <f>J12*F12+I12+D19*G19</f>
        <v>85741.896799999988</v>
      </c>
      <c r="C19" s="6">
        <f>I12/G19</f>
        <v>3000</v>
      </c>
      <c r="D19" s="8">
        <f>'[2]REP.+MAN.+AVERIAS5182GYG1464HGY'!$F$50/100000*G12</f>
        <v>682.99959999999987</v>
      </c>
      <c r="E19" s="6">
        <f>H12+C19</f>
        <v>7500</v>
      </c>
      <c r="F19" s="77">
        <v>400000</v>
      </c>
      <c r="G19" s="18">
        <f>F19/G12</f>
        <v>8</v>
      </c>
    </row>
    <row r="20" spans="2:19" ht="15.75" thickBot="1" x14ac:dyDescent="0.3">
      <c r="B20" s="58">
        <f>(B19-B18)</f>
        <v>31999.991677885489</v>
      </c>
      <c r="C20" s="91">
        <f>C18-C19</f>
        <v>2333.333333333333</v>
      </c>
      <c r="D20" s="91">
        <f>D18-D19</f>
        <v>-273.19983999999994</v>
      </c>
      <c r="E20" s="91">
        <f>E18-E19</f>
        <v>-624.78291603781963</v>
      </c>
      <c r="F20" s="77">
        <f>F18-F19</f>
        <v>-100000</v>
      </c>
      <c r="G20" s="122" t="s">
        <v>16</v>
      </c>
    </row>
    <row r="21" spans="2:19" x14ac:dyDescent="0.25">
      <c r="B21" s="78"/>
      <c r="C21" s="15"/>
      <c r="D21" s="15"/>
      <c r="E21" s="15"/>
      <c r="F21" s="79">
        <f>F20/F19</f>
        <v>-0.25</v>
      </c>
      <c r="G21" s="123" t="s">
        <v>17</v>
      </c>
    </row>
    <row r="22" spans="2:19" ht="15.75" thickBot="1" x14ac:dyDescent="0.3">
      <c r="B22" s="80"/>
      <c r="C22" s="81"/>
      <c r="D22" s="81"/>
      <c r="E22" s="81"/>
      <c r="F22" s="17"/>
      <c r="G22" s="47" t="s">
        <v>18</v>
      </c>
    </row>
    <row r="23" spans="2:19" ht="15.75" thickBot="1" x14ac:dyDescent="0.3">
      <c r="G23" s="48" t="s">
        <v>50</v>
      </c>
    </row>
    <row r="24" spans="2:19" ht="15.75" thickBot="1" x14ac:dyDescent="0.3"/>
    <row r="25" spans="2:19" ht="15.75" thickBot="1" x14ac:dyDescent="0.3">
      <c r="B25" s="21" t="s">
        <v>24</v>
      </c>
    </row>
    <row r="26" spans="2:19" ht="15.75" thickBot="1" x14ac:dyDescent="0.3">
      <c r="B26" s="21"/>
    </row>
    <row r="27" spans="2:19" ht="15.75" thickBot="1" x14ac:dyDescent="0.3">
      <c r="B27" s="94" t="s">
        <v>19</v>
      </c>
      <c r="C27" s="29">
        <f>C30/C29</f>
        <v>-0.48881830569807189</v>
      </c>
      <c r="D27" s="94" t="s">
        <v>21</v>
      </c>
    </row>
    <row r="28" spans="2:19" x14ac:dyDescent="0.25">
      <c r="B28" s="97">
        <f>D18*G18+G18*E18</f>
        <v>43710.101063773087</v>
      </c>
      <c r="C28" s="97">
        <f>C29+C30</f>
        <v>33463.996800000001</v>
      </c>
      <c r="D28" s="98">
        <f>C28/G18</f>
        <v>5577.3328000000001</v>
      </c>
    </row>
    <row r="29" spans="2:19" x14ac:dyDescent="0.25">
      <c r="B29" s="99">
        <f>D19*G19+G19*E19</f>
        <v>65463.996800000001</v>
      </c>
      <c r="C29" s="99">
        <f>B29</f>
        <v>65463.996800000001</v>
      </c>
      <c r="D29" s="95">
        <f>C29/G19</f>
        <v>8182.9996000000001</v>
      </c>
    </row>
    <row r="30" spans="2:19" x14ac:dyDescent="0.25">
      <c r="B30" s="92">
        <f>B28-B29</f>
        <v>-21753.895736226914</v>
      </c>
      <c r="C30" s="92">
        <f>(B33*B30)/C33</f>
        <v>-32000</v>
      </c>
      <c r="D30" s="96">
        <f>D33*D31</f>
        <v>-15634.0008</v>
      </c>
    </row>
    <row r="31" spans="2:19" x14ac:dyDescent="0.25">
      <c r="B31" s="93">
        <f>B30/G18</f>
        <v>-3625.6492893711525</v>
      </c>
      <c r="C31" s="93">
        <f>C30/G18</f>
        <v>-5333.333333333333</v>
      </c>
      <c r="D31" s="95">
        <f>D28-D29</f>
        <v>-2605.6668</v>
      </c>
    </row>
    <row r="32" spans="2:19" x14ac:dyDescent="0.25">
      <c r="B32" s="19">
        <f>-(B31/B28)</f>
        <v>8.2947629978739376E-2</v>
      </c>
      <c r="C32" s="19">
        <f>-(C31/C28)</f>
        <v>0.15937526426411006</v>
      </c>
      <c r="D32" s="19">
        <f>-(D31/D29)</f>
        <v>0.31842440759742918</v>
      </c>
    </row>
    <row r="33" spans="2:5" ht="15.75" thickBot="1" x14ac:dyDescent="0.3">
      <c r="B33" s="100">
        <f>(I11*G18)/-B30</f>
        <v>8.8260053430458001</v>
      </c>
      <c r="C33" s="116">
        <v>6</v>
      </c>
      <c r="D33" s="101">
        <f>G18</f>
        <v>6</v>
      </c>
    </row>
    <row r="34" spans="2:5" ht="15.75" thickBot="1" x14ac:dyDescent="0.3"/>
    <row r="35" spans="2:5" ht="15.75" thickBot="1" x14ac:dyDescent="0.3">
      <c r="B35" s="22" t="s">
        <v>23</v>
      </c>
    </row>
    <row r="36" spans="2:5" ht="15.75" thickBot="1" x14ac:dyDescent="0.3">
      <c r="B36" s="22"/>
    </row>
    <row r="37" spans="2:5" ht="15.75" thickBot="1" x14ac:dyDescent="0.3">
      <c r="B37" s="22" t="s">
        <v>19</v>
      </c>
    </row>
    <row r="38" spans="2:5" ht="15.75" thickBot="1" x14ac:dyDescent="0.3">
      <c r="B38" s="115">
        <f>I11+D18*G18</f>
        <v>34458.798560000003</v>
      </c>
    </row>
    <row r="39" spans="2:5" x14ac:dyDescent="0.25">
      <c r="B39" s="111">
        <f>B29</f>
        <v>65463.996800000001</v>
      </c>
      <c r="C39" s="108" t="s">
        <v>54</v>
      </c>
      <c r="D39" s="102" t="s">
        <v>53</v>
      </c>
    </row>
    <row r="40" spans="2:5" ht="15.75" thickBot="1" x14ac:dyDescent="0.3">
      <c r="B40" s="112">
        <f>B38-B39</f>
        <v>-31005.198239999998</v>
      </c>
      <c r="C40" s="109">
        <f>(B29/-B40)*G18</f>
        <v>12.668326703141894</v>
      </c>
      <c r="D40" s="20">
        <f>(B28/-B40)*G18</f>
        <v>8.4586011788273119</v>
      </c>
    </row>
    <row r="41" spans="2:5" x14ac:dyDescent="0.25">
      <c r="B41" s="113">
        <f>B40/G18</f>
        <v>-5167.5330399999993</v>
      </c>
      <c r="C41" s="108" t="s">
        <v>17</v>
      </c>
    </row>
    <row r="42" spans="2:5" ht="15.75" thickBot="1" x14ac:dyDescent="0.3">
      <c r="B42" s="114">
        <f>-B41/B38</f>
        <v>0.14996265847755078</v>
      </c>
      <c r="C42" s="110" t="s">
        <v>20</v>
      </c>
    </row>
    <row r="43" spans="2:5" ht="15.75" thickBot="1" x14ac:dyDescent="0.3">
      <c r="C43" s="3"/>
      <c r="E43" s="4"/>
    </row>
    <row r="44" spans="2:5" ht="15.75" thickBot="1" x14ac:dyDescent="0.3">
      <c r="B44" s="117" t="s">
        <v>42</v>
      </c>
    </row>
    <row r="45" spans="2:5" x14ac:dyDescent="0.25">
      <c r="B45" s="25">
        <v>0.3</v>
      </c>
    </row>
    <row r="46" spans="2:5" ht="15.75" thickBot="1" x14ac:dyDescent="0.3">
      <c r="B46" s="30">
        <f>I11-B45*I11</f>
        <v>22400</v>
      </c>
    </row>
    <row r="47" spans="2:5" x14ac:dyDescent="0.25">
      <c r="B47" s="26">
        <f>B29</f>
        <v>65463.996800000001</v>
      </c>
      <c r="C47" s="23" t="s">
        <v>51</v>
      </c>
      <c r="D47" s="24" t="s">
        <v>52</v>
      </c>
    </row>
    <row r="48" spans="2:5" ht="15.75" thickBot="1" x14ac:dyDescent="0.3">
      <c r="B48" s="27">
        <f>B46-B47</f>
        <v>-43063.996800000001</v>
      </c>
      <c r="C48" s="106">
        <f>(B29/-B48)*G18</f>
        <v>9.1209365127948363</v>
      </c>
      <c r="D48" s="107">
        <f>(B28/-B48)*G18</f>
        <v>6.0900201066018678</v>
      </c>
    </row>
    <row r="49" spans="2:5" x14ac:dyDescent="0.25">
      <c r="B49" s="28">
        <f>B48/G18</f>
        <v>-7177.3328000000001</v>
      </c>
      <c r="C49" s="105" t="s">
        <v>17</v>
      </c>
    </row>
    <row r="50" spans="2:5" ht="15.75" thickBot="1" x14ac:dyDescent="0.3">
      <c r="B50" s="103">
        <f>-(B49/B46)</f>
        <v>0.32041664285714289</v>
      </c>
      <c r="C50" s="104" t="s">
        <v>20</v>
      </c>
    </row>
    <row r="51" spans="2:5" ht="15.75" thickBot="1" x14ac:dyDescent="0.3"/>
    <row r="52" spans="2:5" ht="15.75" thickBot="1" x14ac:dyDescent="0.3">
      <c r="B52" s="31">
        <f>I11-B46</f>
        <v>9600</v>
      </c>
      <c r="C52" s="32" t="s">
        <v>33</v>
      </c>
    </row>
    <row r="53" spans="2:5" ht="15.75" thickBot="1" x14ac:dyDescent="0.3">
      <c r="B53" s="33" t="s">
        <v>27</v>
      </c>
      <c r="C53" s="34">
        <v>0.25</v>
      </c>
    </row>
    <row r="54" spans="2:5" ht="15.75" thickBot="1" x14ac:dyDescent="0.3">
      <c r="B54" s="35" t="s">
        <v>35</v>
      </c>
      <c r="C54" s="53">
        <v>33416</v>
      </c>
      <c r="D54" s="43" t="s">
        <v>28</v>
      </c>
    </row>
    <row r="55" spans="2:5" ht="15.75" thickBot="1" x14ac:dyDescent="0.3">
      <c r="B55" s="36" t="s">
        <v>36</v>
      </c>
      <c r="C55" s="52">
        <f>C53*C54</f>
        <v>8354</v>
      </c>
      <c r="D55" s="44">
        <v>0.3</v>
      </c>
      <c r="E55" s="48" t="s">
        <v>34</v>
      </c>
    </row>
    <row r="56" spans="2:5" x14ac:dyDescent="0.25">
      <c r="B56" s="37" t="s">
        <v>25</v>
      </c>
      <c r="C56" s="41">
        <f>$C$55*D55</f>
        <v>2506.1999999999998</v>
      </c>
      <c r="D56" s="45">
        <f>D55</f>
        <v>0.3</v>
      </c>
      <c r="E56" s="49">
        <f>C56/$C$60</f>
        <v>0.26106249999999998</v>
      </c>
    </row>
    <row r="57" spans="2:5" x14ac:dyDescent="0.25">
      <c r="B57" s="38" t="s">
        <v>29</v>
      </c>
      <c r="C57" s="42">
        <f>$C$55*D57</f>
        <v>2506.1999999999998</v>
      </c>
      <c r="D57" s="46">
        <f>D55</f>
        <v>0.3</v>
      </c>
      <c r="E57" s="46">
        <f>C57/$C$60</f>
        <v>0.26106249999999998</v>
      </c>
    </row>
    <row r="58" spans="2:5" x14ac:dyDescent="0.25">
      <c r="B58" s="38" t="s">
        <v>30</v>
      </c>
      <c r="C58" s="42">
        <f>$C$55*D58</f>
        <v>2506.1999999999998</v>
      </c>
      <c r="D58" s="46">
        <f>D55</f>
        <v>0.3</v>
      </c>
      <c r="E58" s="46">
        <f>C58/$C$60</f>
        <v>0.26106249999999998</v>
      </c>
    </row>
    <row r="59" spans="2:5" ht="15.75" thickBot="1" x14ac:dyDescent="0.3">
      <c r="B59" s="36" t="s">
        <v>31</v>
      </c>
      <c r="C59" s="40">
        <f>B52-(C56+C57+C58)</f>
        <v>2081.4000000000005</v>
      </c>
      <c r="D59" s="47" t="s">
        <v>26</v>
      </c>
      <c r="E59" s="50">
        <f>C59/$C$60</f>
        <v>0.21681250000000005</v>
      </c>
    </row>
    <row r="60" spans="2:5" ht="15.75" thickBot="1" x14ac:dyDescent="0.3">
      <c r="B60" s="39" t="s">
        <v>32</v>
      </c>
      <c r="C60" s="14">
        <f>C56+C57+C58+C59</f>
        <v>9600</v>
      </c>
      <c r="D60" s="4"/>
      <c r="E60" s="51">
        <f>E56+E57+E58+E59</f>
        <v>1</v>
      </c>
    </row>
  </sheetData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</dc:creator>
  <cp:lastModifiedBy>Raul</cp:lastModifiedBy>
  <dcterms:created xsi:type="dcterms:W3CDTF">2023-02-12T08:35:47Z</dcterms:created>
  <dcterms:modified xsi:type="dcterms:W3CDTF">2023-02-16T18:20:43Z</dcterms:modified>
</cp:coreProperties>
</file>